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Apache\htdocs\a\oszczedzaj-wode.pl\downloads\"/>
    </mc:Choice>
  </mc:AlternateContent>
  <xr:revisionPtr revIDLastSave="0" documentId="13_ncr:1_{D78E0FE6-1BC2-4EB3-886D-6C91A7581618}" xr6:coauthVersionLast="47" xr6:coauthVersionMax="47" xr10:uidLastSave="{00000000-0000-0000-0000-000000000000}"/>
  <bookViews>
    <workbookView xWindow="27960" yWindow="4995" windowWidth="27795" windowHeight="15345" xr2:uid="{00000000-000D-0000-FFFF-FFFF00000000}"/>
  </bookViews>
  <sheets>
    <sheet name="Kalkulator" sheetId="1" r:id="rId1"/>
    <sheet name="Konfiguracja" sheetId="3" r:id="rId2"/>
  </sheets>
  <definedNames>
    <definedName name="AcquisitionCosts">Kalkulator!$D$26</definedName>
    <definedName name="Anschaffungskosten">Konfiguracja!$C$4</definedName>
    <definedName name="BruttoNettoFactor">Konfiguracja!$C$2</definedName>
    <definedName name="CO2SavingPerLiter">Konfiguracja!$C$28</definedName>
    <definedName name="ColdWaterPerLiter">Konfiguracja!$C$5</definedName>
    <definedName name="ConnectionsPerShower">Kalkulator!$D$7</definedName>
    <definedName name="ConsumptionInM3">Konfiguracja!$C$33</definedName>
    <definedName name="CostPerKWhInCent">Konfiguracja!#REF!</definedName>
    <definedName name="CostPerLiter">Konfiguracja!#REF!</definedName>
    <definedName name="EnergyInKwhPerLiter">Konfiguracja!$C$12</definedName>
    <definedName name="EnergyPerLiterInJoule">Konfiguracja!#REF!</definedName>
    <definedName name="GreenJetSaving">Kalkulator!$D$16</definedName>
    <definedName name="GreenJetSavingInPercent">Kalkulator!$D$16</definedName>
    <definedName name="LiterPer30s">Kalkulator!$D$11</definedName>
    <definedName name="LiterPer30secGreenJet">Kalkulator!$D$12</definedName>
    <definedName name="LiterPerMinutes">Kalkulator!$D$13</definedName>
    <definedName name="NrOfPersonsPerShower">Kalkulator!$D$9</definedName>
    <definedName name="NrOfShowers">Kalkulator!$D$6</definedName>
    <definedName name="ShowDurationInMinutes">Kalkulator!$D$10</definedName>
    <definedName name="TemperaturDiff">Konfiguracja!$C$10</definedName>
    <definedName name="UtilizationInPercent">Kalkulator!$D$8</definedName>
    <definedName name="WarmWaterCostsPerLiter">Konfiguracja!#REF!</definedName>
    <definedName name="WasteWaterPerLiter">Konfiguracja!$C$6</definedName>
    <definedName name="WaterflowInLiterPerMinutes">Kalkulator!$D$13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3" l="1"/>
  <c r="C29" i="3" l="1"/>
  <c r="D27" i="1" l="1"/>
  <c r="D16" i="1"/>
  <c r="D13" i="1"/>
  <c r="C33" i="3" s="1"/>
  <c r="C28" i="3"/>
  <c r="C27" i="3"/>
  <c r="C10" i="3"/>
  <c r="C12" i="3" s="1"/>
  <c r="D33" i="3" l="1"/>
  <c r="D36" i="3" s="1"/>
  <c r="C35" i="3"/>
  <c r="C36" i="3"/>
  <c r="C34" i="3"/>
  <c r="C37" i="3" s="1"/>
  <c r="D34" i="3" l="1"/>
  <c r="D37" i="3" s="1"/>
  <c r="D35" i="3"/>
  <c r="D39" i="3"/>
  <c r="C39" i="3"/>
  <c r="E33" i="3"/>
  <c r="D21" i="1" s="1"/>
  <c r="E37" i="3" l="1"/>
  <c r="E36" i="3"/>
  <c r="C38" i="3"/>
  <c r="E35" i="3"/>
  <c r="D38" i="3"/>
  <c r="E34" i="3"/>
  <c r="E39" i="3"/>
  <c r="D22" i="1" s="1"/>
  <c r="E38" i="3" l="1"/>
  <c r="D20" i="1" l="1"/>
  <c r="D29" i="1" s="1"/>
  <c r="D33" i="1" l="1"/>
</calcChain>
</file>

<file path=xl/sharedStrings.xml><?xml version="1.0" encoding="utf-8"?>
<sst xmlns="http://schemas.openxmlformats.org/spreadsheetml/2006/main" count="97" uniqueCount="84">
  <si>
    <t>Wasserdurchfluss</t>
  </si>
  <si>
    <t>%</t>
  </si>
  <si>
    <t>l/min</t>
  </si>
  <si>
    <t>GREENJET</t>
  </si>
  <si>
    <t>c/KWh</t>
  </si>
  <si>
    <t>€</t>
  </si>
  <si>
    <t>° Celsius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</si>
  <si>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</si>
  <si>
    <t>c / KWh</t>
  </si>
  <si>
    <t>KWh/m³</t>
  </si>
  <si>
    <r>
      <t>CO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</si>
  <si>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save water &amp; energy for our planet</t>
  </si>
  <si>
    <t>X</t>
  </si>
  <si>
    <t xml:space="preserve"> </t>
  </si>
  <si>
    <t>ilość</t>
  </si>
  <si>
    <t>dysze GREENJET</t>
  </si>
  <si>
    <t>na prysznic</t>
  </si>
  <si>
    <t>średnia liczba osób</t>
  </si>
  <si>
    <t>średni czas prysznica</t>
  </si>
  <si>
    <t>l/30sek.</t>
  </si>
  <si>
    <t>Żródło pogrzania wody</t>
  </si>
  <si>
    <t>oszczędność w %</t>
  </si>
  <si>
    <t>ROCZNE OSZCZĘDNOŚCI</t>
  </si>
  <si>
    <t>litrów wody</t>
  </si>
  <si>
    <r>
      <t>kilogramów CO</t>
    </r>
    <r>
      <rPr>
        <vertAlign val="subscript"/>
        <sz val="11"/>
        <color rgb="FF63A374"/>
        <rFont val="Segoe UI"/>
        <family val="2"/>
      </rPr>
      <t>2</t>
    </r>
  </si>
  <si>
    <t>Jednorazowe koszty zakupu</t>
  </si>
  <si>
    <t>€ / sztukę</t>
  </si>
  <si>
    <t>€ / całość</t>
  </si>
  <si>
    <t>okres amortyzacji</t>
  </si>
  <si>
    <t>miesięcy</t>
  </si>
  <si>
    <t>OSZCZĘDNOŚCI PO 10 LATACH</t>
  </si>
  <si>
    <t>Ceny energii i wody w 2024</t>
  </si>
  <si>
    <t>Konfiguracja</t>
  </si>
  <si>
    <t>Cena wody zimnej</t>
  </si>
  <si>
    <t>Cena nieczystości</t>
  </si>
  <si>
    <t>Energia elektryczna</t>
  </si>
  <si>
    <t>€ 1,15 za m³</t>
  </si>
  <si>
    <t>€ 2,10 za m³</t>
  </si>
  <si>
    <t>€ 164,16 za kWh</t>
  </si>
  <si>
    <t>Brutto/Netto</t>
  </si>
  <si>
    <t>Brutto=1,23 / Netto=1</t>
  </si>
  <si>
    <t>Koszty zakupu</t>
  </si>
  <si>
    <t>za sztukę</t>
  </si>
  <si>
    <t>za m³</t>
  </si>
  <si>
    <t>Temperatura wody zimnej</t>
  </si>
  <si>
    <t>Temperatura wody ciepłej</t>
  </si>
  <si>
    <t>Różnica temperatur</t>
  </si>
  <si>
    <t>Zużycie energii</t>
  </si>
  <si>
    <t>Źródło podgrzania wody</t>
  </si>
  <si>
    <t>CO² g/litr</t>
  </si>
  <si>
    <t>ogrzewanie sieciowe</t>
  </si>
  <si>
    <t>gaz</t>
  </si>
  <si>
    <t>olej</t>
  </si>
  <si>
    <t>pelet</t>
  </si>
  <si>
    <t>Kalkulacja</t>
  </si>
  <si>
    <t>Parametry</t>
  </si>
  <si>
    <t>Czynnik grzewczy</t>
  </si>
  <si>
    <t>Koszty</t>
  </si>
  <si>
    <t>Zużycie wody</t>
  </si>
  <si>
    <t>Pobór energii</t>
  </si>
  <si>
    <t>Woda zimna</t>
  </si>
  <si>
    <t>Nieczystości</t>
  </si>
  <si>
    <t>Koszty podgrzania</t>
  </si>
  <si>
    <t>m³ rocznie</t>
  </si>
  <si>
    <t>€ / rok</t>
  </si>
  <si>
    <t>kg / rok</t>
  </si>
  <si>
    <t>w KWh rocznie</t>
  </si>
  <si>
    <t>RÓŻNICA</t>
  </si>
  <si>
    <t>STARE</t>
  </si>
  <si>
    <t>NOWE</t>
  </si>
  <si>
    <t>Poziom efektywności</t>
  </si>
  <si>
    <t>g / litr</t>
  </si>
  <si>
    <t>Analiza</t>
  </si>
  <si>
    <t>stopień sprawności</t>
  </si>
  <si>
    <t>Uwaga:</t>
  </si>
  <si>
    <t>prysznice/natryski</t>
  </si>
  <si>
    <t>min/dzień</t>
  </si>
  <si>
    <t>prąd (pompa ciepła)</t>
  </si>
  <si>
    <t>Oszczędności po 10 latach mogą być wyższe, jeśli ceny energii i wody wzrosną</t>
  </si>
  <si>
    <t>przepływ z GREENJET</t>
  </si>
  <si>
    <t>ilość/1 prysznic i 1 natrysk</t>
  </si>
  <si>
    <t>przepływ wody bez GREENJET</t>
  </si>
  <si>
    <t>stopień wykorzystania prysznicy/natrysków</t>
  </si>
  <si>
    <t>Podane wartości zależą od wielu zmiennych jak np. pierwotnego przepływu wody, źródła czynnika grzewczego i ceny energii (podgrzania), wody zimnej, temperatur wód, kosztu odprowadzenia ścieków, regionu, czasu użytkowania i stopnia wykorzystania/obłożenia prysznica/natrysku, itp.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</si>
</sst>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&quot;€&quot;\ #,##0.000"/>
    <numFmt numFmtId="166" formatCode="#,##0.000"/>
    <numFmt numFmtId="167" formatCode="[$€-2]\ #,##0.0000;[Red]\-[$€-2]\ #,##0.0000"/>
  </numFmts>
  <fonts count="21" x14ac:knownFonts="1">
    <font>
      <sz val="11"/>
      <color theme="1"/>
      <name val="Calibri"/>
      <family val="2"/>
      <scheme val="minor"/>
    </font>
    <font>
      <sz val="11"/>
      <color theme="9" tint="-0.249977111117893"/>
      <name val="Segoe UI"/>
      <family val="2"/>
    </font>
    <font>
      <sz val="11"/>
      <color theme="2" tint="-0.749992370372631"/>
      <name val="Segoe UI"/>
      <family val="2"/>
    </font>
    <font>
      <vertAlign val="subscript"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2" tint="-0.749992370372631"/>
      <name val="Segoe UI"/>
      <family val="2"/>
    </font>
    <font>
      <b/>
      <sz val="11"/>
      <color theme="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Segoe UI"/>
      <family val="2"/>
    </font>
    <font>
      <sz val="14"/>
      <color theme="8"/>
      <name val="Calibri"/>
      <family val="2"/>
      <scheme val="minor"/>
    </font>
    <font>
      <sz val="11"/>
      <color rgb="FF63A374"/>
      <name val="Segoe UI"/>
      <family val="2"/>
    </font>
    <font>
      <vertAlign val="subscript"/>
      <sz val="11"/>
      <color rgb="FF63A374"/>
      <name val="Segoe UI"/>
      <family val="2"/>
    </font>
    <font>
      <sz val="18"/>
      <color theme="4"/>
      <name val="Segoe UI Light"/>
      <family val="2"/>
    </font>
    <font>
      <sz val="11"/>
      <color theme="1"/>
      <name val="Segoe UI Light"/>
      <family val="2"/>
    </font>
    <font>
      <sz val="11"/>
      <color theme="1" tint="0.499984740745262"/>
      <name val="Segoe U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/>
    <xf numFmtId="0" fontId="5" fillId="0" borderId="0" xfId="0" applyFont="1"/>
    <xf numFmtId="0" fontId="12" fillId="0" borderId="0" xfId="0" applyFont="1"/>
    <xf numFmtId="3" fontId="9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49" fontId="14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/>
    <xf numFmtId="0" fontId="10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12" fillId="0" borderId="0" xfId="2" applyFont="1"/>
    <xf numFmtId="0" fontId="2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Protection="1">
      <protection locked="0"/>
    </xf>
    <xf numFmtId="166" fontId="4" fillId="2" borderId="0" xfId="1" applyNumberFormat="1" applyAlignment="1" applyProtection="1">
      <alignment horizontal="center"/>
      <protection locked="0"/>
    </xf>
    <xf numFmtId="166" fontId="4" fillId="2" borderId="1" xfId="1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3" fontId="8" fillId="0" borderId="4" xfId="0" applyNumberFormat="1" applyFont="1" applyBorder="1" applyAlignment="1">
      <alignment horizontal="right"/>
    </xf>
    <xf numFmtId="10" fontId="2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0" fontId="8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" fontId="0" fillId="0" borderId="0" xfId="0" applyNumberFormat="1"/>
    <xf numFmtId="0" fontId="15" fillId="0" borderId="0" xfId="0" applyFont="1" applyAlignment="1">
      <alignment horizontal="left"/>
    </xf>
    <xf numFmtId="4" fontId="13" fillId="0" borderId="1" xfId="0" applyNumberFormat="1" applyFont="1" applyBorder="1" applyAlignment="1" applyProtection="1">
      <alignment horizontal="right"/>
      <protection locked="0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/>
    <xf numFmtId="165" fontId="5" fillId="0" borderId="0" xfId="0" applyNumberFormat="1" applyFont="1" applyProtection="1">
      <protection locked="0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0" fillId="0" borderId="0" xfId="0" applyFont="1"/>
    <xf numFmtId="167" fontId="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Hiperłącze" xfId="2" builtinId="8"/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63A374"/>
      <color rgb="FF2381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615462</xdr:colOff>
      <xdr:row>1</xdr:row>
      <xdr:rowOff>117231</xdr:rowOff>
    </xdr:from>
    <xdr:to>
      <xdr:col>5</xdr:col>
      <xdr:colOff>150648</xdr:colOff>
      <xdr:row>3</xdr:row>
      <xdr:rowOff>134111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6AA2415-5ECC-491E-BD02-FE47F5801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462" y="385885"/>
          <a:ext cx="2452077" cy="413853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50800</xdr:rowOff>
    </xdr:from>
    <xdr:to>
      <xdr:col>6</xdr:col>
      <xdr:colOff>553934</xdr:colOff>
      <xdr:row>4</xdr:row>
      <xdr:rowOff>289042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CF69DE3-1BB2-4CA9-B367-9DE7AD053E2D}"/>
            </a:ext>
            <a:ext uri="{147F2762-F138-4A5C-976F-8EAC2B608ADB}">
              <a16:predDERef xmlns:a16="http://schemas.microsoft.com/office/drawing/2014/main" pred="{66AA2415-5ECC-491E-BD02-FE47F5801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450" y="50800"/>
          <a:ext cx="2208109" cy="123773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5"/>
  <sheetViews>
    <sheetView showGridLines="0" showRowColHeaders="0" tabSelected="1" zoomScaleNormal="115" workbookViewId="0">
      <selection activeCell="I6" sqref="I6"/>
    </sheetView>
  </sheetViews>
  <sheetFormatPr defaultColWidth="9.28515625" defaultRowHeight="15" x14ac:dyDescent="0.25"/>
  <cols>
    <col min="1" max="1" width="9.28515625" customWidth="1"/>
    <col min="2" max="2" width="17.5703125" customWidth="1"/>
    <col min="3" max="3" width="1.28515625" customWidth="1"/>
    <col min="4" max="4" width="12.42578125" style="5" customWidth="1"/>
    <col min="5" max="5" width="1.5703125" style="1" customWidth="1"/>
    <col min="6" max="6" width="20.7109375" customWidth="1"/>
    <col min="10" max="12" width="9" customWidth="1"/>
    <col min="13" max="14" width="12.42578125" customWidth="1"/>
    <col min="15" max="15" width="9.7109375" customWidth="1"/>
    <col min="16" max="16" width="13.28515625" customWidth="1"/>
    <col min="17" max="18" width="9" customWidth="1"/>
  </cols>
  <sheetData>
    <row r="1" spans="2:11" ht="21" customHeight="1" x14ac:dyDescent="0.25"/>
    <row r="2" spans="2:11" ht="21" customHeight="1" x14ac:dyDescent="0.25"/>
    <row r="3" spans="2:11" ht="11.25" customHeight="1" x14ac:dyDescent="0.25">
      <c r="F3" s="1"/>
    </row>
    <row r="4" spans="2:11" ht="26.25" x14ac:dyDescent="0.45">
      <c r="B4" s="56" t="s">
        <v>11</v>
      </c>
      <c r="C4" s="53"/>
      <c r="D4" s="54"/>
      <c r="E4" s="55"/>
    </row>
    <row r="5" spans="2:11" ht="26.25" customHeight="1" x14ac:dyDescent="0.25"/>
    <row r="6" spans="2:11" ht="16.5" x14ac:dyDescent="0.3">
      <c r="B6" s="45" t="s">
        <v>75</v>
      </c>
      <c r="C6" s="46"/>
      <c r="D6" s="28">
        <v>100</v>
      </c>
      <c r="E6" s="47"/>
      <c r="F6" s="45" t="s">
        <v>14</v>
      </c>
    </row>
    <row r="7" spans="2:11" ht="16.5" x14ac:dyDescent="0.3">
      <c r="B7" s="45" t="s">
        <v>15</v>
      </c>
      <c r="C7" s="46"/>
      <c r="D7" s="28">
        <v>2</v>
      </c>
      <c r="E7" s="47"/>
      <c r="F7" s="45" t="s">
        <v>80</v>
      </c>
    </row>
    <row r="8" spans="2:11" ht="16.5" x14ac:dyDescent="0.3">
      <c r="B8" s="45" t="s">
        <v>82</v>
      </c>
      <c r="C8" s="46"/>
      <c r="D8" s="42">
        <v>0.55000000000000004</v>
      </c>
      <c r="E8" s="47"/>
      <c r="F8" s="45" t="s">
        <v>1</v>
      </c>
    </row>
    <row r="9" spans="2:11" ht="16.5" x14ac:dyDescent="0.3">
      <c r="B9" s="45" t="s">
        <v>17</v>
      </c>
      <c r="C9" s="46"/>
      <c r="D9" s="28">
        <v>1.3</v>
      </c>
      <c r="E9" s="47"/>
      <c r="F9" s="45" t="s">
        <v>16</v>
      </c>
      <c r="K9" s="4"/>
    </row>
    <row r="10" spans="2:11" ht="16.5" x14ac:dyDescent="0.3">
      <c r="B10" s="45" t="s">
        <v>18</v>
      </c>
      <c r="C10" s="46"/>
      <c r="D10" s="28">
        <v>11</v>
      </c>
      <c r="E10" s="47"/>
      <c r="F10" s="45" t="s">
        <v>76</v>
      </c>
      <c r="K10" s="4"/>
    </row>
    <row r="11" spans="2:11" ht="16.5" x14ac:dyDescent="0.3">
      <c r="B11" s="45" t="s">
        <v>81</v>
      </c>
      <c r="C11" s="46"/>
      <c r="D11" s="28">
        <v>5.9249999999999998</v>
      </c>
      <c r="E11" s="47"/>
      <c r="F11" s="45" t="s">
        <v>19</v>
      </c>
      <c r="K11" s="4"/>
    </row>
    <row r="12" spans="2:11" ht="16.5" x14ac:dyDescent="0.3">
      <c r="B12" s="45" t="s">
        <v>79</v>
      </c>
      <c r="C12" s="46"/>
      <c r="D12" s="28">
        <v>3.3</v>
      </c>
      <c r="E12" s="47"/>
      <c r="F12" s="45" t="s">
        <v>19</v>
      </c>
      <c r="K12" s="4"/>
    </row>
    <row r="13" spans="2:11" ht="16.5" hidden="1" x14ac:dyDescent="0.3">
      <c r="B13" s="45" t="s">
        <v>0</v>
      </c>
      <c r="C13" s="46"/>
      <c r="D13" s="38">
        <f>D11*2</f>
        <v>11.85</v>
      </c>
      <c r="E13" s="47"/>
      <c r="F13" s="45" t="s">
        <v>2</v>
      </c>
    </row>
    <row r="14" spans="2:11" ht="16.5" x14ac:dyDescent="0.3">
      <c r="B14" s="45"/>
      <c r="C14" s="46"/>
      <c r="D14" s="47"/>
      <c r="E14" s="47"/>
      <c r="F14" s="45"/>
    </row>
    <row r="15" spans="2:11" ht="16.5" x14ac:dyDescent="0.3">
      <c r="B15" s="45" t="s">
        <v>20</v>
      </c>
      <c r="D15" s="43" t="s">
        <v>77</v>
      </c>
      <c r="E15" s="47"/>
      <c r="F15" s="45"/>
    </row>
    <row r="16" spans="2:11" ht="16.5" x14ac:dyDescent="0.3">
      <c r="B16" s="45" t="s">
        <v>3</v>
      </c>
      <c r="C16" s="46"/>
      <c r="D16" s="44">
        <f>IF(AND(LiterPer30secGreenJet &lt;&gt; "", LiterPer30s &lt;&gt; ""),1 -(LiterPer30secGreenJet/LiterPer30s),"")</f>
        <v>0.44303797468354433</v>
      </c>
      <c r="E16" s="47"/>
      <c r="F16" s="45" t="s">
        <v>21</v>
      </c>
    </row>
    <row r="18" spans="2:10" ht="18" customHeight="1" x14ac:dyDescent="0.3">
      <c r="B18" s="62" t="s">
        <v>22</v>
      </c>
      <c r="C18" s="62"/>
      <c r="D18" s="62"/>
      <c r="E18" s="62"/>
      <c r="F18" s="62"/>
      <c r="G18" s="62"/>
      <c r="J18" t="s">
        <v>13</v>
      </c>
    </row>
    <row r="19" spans="2:10" ht="4.5" customHeight="1" x14ac:dyDescent="0.3">
      <c r="B19" s="48"/>
      <c r="C19" s="48"/>
      <c r="D19" s="49"/>
      <c r="E19" s="48"/>
      <c r="G19" s="48"/>
    </row>
    <row r="20" spans="2:10" ht="18" customHeight="1" x14ac:dyDescent="0.3">
      <c r="B20" s="46"/>
      <c r="D20" s="39">
        <f>ROUNDDOWN(Konfiguracja!E38,-1)</f>
        <v>22210</v>
      </c>
      <c r="F20" s="45" t="s">
        <v>5</v>
      </c>
      <c r="I20" s="50"/>
    </row>
    <row r="21" spans="2:10" ht="18" customHeight="1" x14ac:dyDescent="0.3">
      <c r="D21" s="39">
        <f>ROUNDDOWN(Konfiguracja!E33*1000,-1)</f>
        <v>1507130</v>
      </c>
      <c r="F21" s="51" t="s">
        <v>23</v>
      </c>
    </row>
    <row r="22" spans="2:10" ht="16.5" x14ac:dyDescent="0.3">
      <c r="D22" s="39">
        <f>ROUNDDOWN(Konfiguracja!E39,-1)</f>
        <v>13080</v>
      </c>
      <c r="F22" s="45" t="s">
        <v>24</v>
      </c>
    </row>
    <row r="23" spans="2:10" ht="9.75" customHeight="1" x14ac:dyDescent="0.3">
      <c r="D23" s="39"/>
      <c r="F23" s="46"/>
    </row>
    <row r="24" spans="2:10" ht="16.5" x14ac:dyDescent="0.3">
      <c r="B24" s="45" t="s">
        <v>25</v>
      </c>
      <c r="C24" s="45"/>
      <c r="E24" s="45"/>
      <c r="G24" s="45"/>
    </row>
    <row r="25" spans="2:10" ht="4.5" customHeight="1" x14ac:dyDescent="0.3">
      <c r="B25" s="48"/>
      <c r="C25" s="48"/>
      <c r="D25" s="49"/>
      <c r="E25" s="48"/>
      <c r="G25" s="48"/>
    </row>
    <row r="26" spans="2:10" ht="16.5" x14ac:dyDescent="0.3">
      <c r="D26" s="52">
        <v>56.05</v>
      </c>
      <c r="F26" s="45" t="s">
        <v>26</v>
      </c>
    </row>
    <row r="27" spans="2:10" ht="16.5" x14ac:dyDescent="0.3">
      <c r="D27" s="40">
        <f>Anschaffungskosten*NrOfShowers*ConnectionsPerShower*BruttoNettoFactor</f>
        <v>11210</v>
      </c>
      <c r="F27" s="45" t="s">
        <v>27</v>
      </c>
    </row>
    <row r="29" spans="2:10" ht="16.5" x14ac:dyDescent="0.3">
      <c r="B29" s="45" t="s">
        <v>28</v>
      </c>
      <c r="C29" s="45"/>
      <c r="D29" s="39">
        <f>ROUNDUP(D27/D20*12,0)</f>
        <v>7</v>
      </c>
      <c r="E29" s="45"/>
      <c r="F29" s="45" t="s">
        <v>29</v>
      </c>
      <c r="G29" s="45"/>
    </row>
    <row r="30" spans="2:10" ht="9.75" customHeight="1" x14ac:dyDescent="0.3">
      <c r="D30" s="39"/>
      <c r="F30" s="46"/>
    </row>
    <row r="31" spans="2:10" ht="16.5" x14ac:dyDescent="0.3">
      <c r="B31" s="62" t="s">
        <v>30</v>
      </c>
      <c r="C31" s="62"/>
      <c r="D31" s="62"/>
      <c r="E31" s="62"/>
      <c r="F31" s="62"/>
      <c r="G31" s="62"/>
    </row>
    <row r="32" spans="2:10" ht="4.5" customHeight="1" x14ac:dyDescent="0.3">
      <c r="B32" s="48"/>
      <c r="C32" s="48"/>
      <c r="D32" s="49"/>
      <c r="E32" s="48"/>
      <c r="G32" s="48"/>
    </row>
    <row r="33" spans="2:9" ht="17.25" thickBot="1" x14ac:dyDescent="0.35">
      <c r="D33" s="41">
        <f>D20*10</f>
        <v>222100</v>
      </c>
      <c r="F33" s="45" t="s">
        <v>5</v>
      </c>
    </row>
    <row r="34" spans="2:9" ht="15.75" thickTop="1" x14ac:dyDescent="0.25"/>
    <row r="35" spans="2:9" ht="69" customHeight="1" x14ac:dyDescent="0.25">
      <c r="B35" s="65" t="s">
        <v>83</v>
      </c>
      <c r="C35" s="65"/>
      <c r="D35" s="65"/>
      <c r="E35" s="65"/>
      <c r="F35" s="65"/>
      <c r="G35" s="65"/>
      <c r="H35" s="65"/>
      <c r="I35" s="65"/>
    </row>
    <row r="37" spans="2:9" x14ac:dyDescent="0.25">
      <c r="B37" t="s">
        <v>74</v>
      </c>
    </row>
    <row r="38" spans="2:9" x14ac:dyDescent="0.25">
      <c r="B38" t="s">
        <v>31</v>
      </c>
    </row>
    <row r="39" spans="2:9" x14ac:dyDescent="0.25">
      <c r="B39" t="s">
        <v>78</v>
      </c>
    </row>
    <row r="42" spans="2:9" x14ac:dyDescent="0.25">
      <c r="B42" s="60" t="s">
        <v>32</v>
      </c>
      <c r="F42" s="7"/>
    </row>
    <row r="43" spans="2:9" x14ac:dyDescent="0.25">
      <c r="B43" s="7" t="s">
        <v>33</v>
      </c>
      <c r="C43" s="57">
        <v>1.75</v>
      </c>
      <c r="D43" s="58" t="s">
        <v>36</v>
      </c>
      <c r="E43" s="59"/>
      <c r="F43" s="7"/>
    </row>
    <row r="44" spans="2:9" x14ac:dyDescent="0.25">
      <c r="B44" s="7" t="s">
        <v>34</v>
      </c>
      <c r="C44" s="57">
        <v>2.2000000000000002</v>
      </c>
      <c r="D44" s="58" t="s">
        <v>37</v>
      </c>
      <c r="E44" s="59"/>
      <c r="F44" s="7"/>
    </row>
    <row r="45" spans="2:9" x14ac:dyDescent="0.25">
      <c r="B45" s="7" t="s">
        <v>35</v>
      </c>
      <c r="C45" s="7"/>
      <c r="D45" s="61" t="s">
        <v>38</v>
      </c>
      <c r="E45" s="59"/>
    </row>
  </sheetData>
  <sheetProtection formatCells="0" formatColumns="0" formatRows="0" insertColumns="0" insertRows="0" insertHyperlinks="0" deleteColumns="0" deleteRows="0" sort="0" autoFilter="0" pivotTables="0"/>
  <mergeCells count="3">
    <mergeCell ref="B18:G18"/>
    <mergeCell ref="B31:G31"/>
    <mergeCell ref="B35:I35"/>
  </mergeCells>
  <pageMargins left="0.7" right="0.7" top="0.75" bottom="0.75" header="0.3" footer="0.3"/>
  <pageSetup paperSize="9" orientation="portrait" horizontalDpi="4294967293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B0E3C7-9FA5-4329-97BF-EE50DFCF259D}">
          <x14:formula1>
            <xm:f>Konfiguracja!$B$15:$B$20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B820-24AF-4A9C-99B6-0361FC597F17}">
  <dimension ref="A1:I39"/>
  <sheetViews>
    <sheetView showGridLines="0" topLeftCell="A3" workbookViewId="0">
      <selection activeCell="F26" sqref="F26"/>
    </sheetView>
  </sheetViews>
  <sheetFormatPr defaultColWidth="11.5703125" defaultRowHeight="15" x14ac:dyDescent="0.25"/>
  <cols>
    <col min="1" max="1" width="3.5703125" customWidth="1"/>
    <col min="2" max="2" width="19" bestFit="1" customWidth="1"/>
    <col min="3" max="3" width="12" customWidth="1"/>
    <col min="4" max="4" width="11.7109375" customWidth="1"/>
    <col min="5" max="5" width="13" style="1" customWidth="1"/>
    <col min="6" max="6" width="15.7109375" customWidth="1"/>
    <col min="7" max="7" width="5.7109375" customWidth="1"/>
    <col min="8" max="8" width="32.42578125" style="8" customWidth="1"/>
    <col min="9" max="9" width="78.7109375" style="8" bestFit="1" customWidth="1"/>
  </cols>
  <sheetData>
    <row r="1" spans="1:9" ht="18.75" x14ac:dyDescent="0.3">
      <c r="A1" s="63" t="s">
        <v>32</v>
      </c>
      <c r="B1" s="63"/>
    </row>
    <row r="2" spans="1:9" x14ac:dyDescent="0.25">
      <c r="B2" s="7" t="s">
        <v>39</v>
      </c>
      <c r="C2" s="29">
        <v>1</v>
      </c>
      <c r="D2" t="s">
        <v>40</v>
      </c>
    </row>
    <row r="4" spans="1:9" x14ac:dyDescent="0.25">
      <c r="B4" t="s">
        <v>41</v>
      </c>
      <c r="C4" s="30">
        <v>56.05</v>
      </c>
      <c r="D4" s="4" t="s">
        <v>42</v>
      </c>
      <c r="I4" s="27"/>
    </row>
    <row r="5" spans="1:9" x14ac:dyDescent="0.25">
      <c r="B5" t="s">
        <v>33</v>
      </c>
      <c r="C5" s="31">
        <v>1.1499999999999999</v>
      </c>
      <c r="D5" s="4" t="s">
        <v>43</v>
      </c>
    </row>
    <row r="6" spans="1:9" x14ac:dyDescent="0.25">
      <c r="B6" t="s">
        <v>34</v>
      </c>
      <c r="C6" s="31">
        <v>2.1</v>
      </c>
      <c r="D6" s="4" t="s">
        <v>43</v>
      </c>
    </row>
    <row r="8" spans="1:9" x14ac:dyDescent="0.25">
      <c r="B8" t="s">
        <v>44</v>
      </c>
      <c r="C8" s="32">
        <v>10</v>
      </c>
      <c r="D8" s="4" t="s">
        <v>6</v>
      </c>
    </row>
    <row r="9" spans="1:9" x14ac:dyDescent="0.25">
      <c r="B9" t="s">
        <v>45</v>
      </c>
      <c r="C9" s="32">
        <v>38</v>
      </c>
      <c r="D9" s="4" t="s">
        <v>6</v>
      </c>
    </row>
    <row r="10" spans="1:9" x14ac:dyDescent="0.25">
      <c r="B10" t="s">
        <v>46</v>
      </c>
      <c r="C10" s="32">
        <f>C9-C8</f>
        <v>28</v>
      </c>
      <c r="D10" s="4" t="s">
        <v>6</v>
      </c>
    </row>
    <row r="12" spans="1:9" x14ac:dyDescent="0.25">
      <c r="B12" t="s">
        <v>47</v>
      </c>
      <c r="C12" s="32">
        <f>TemperaturDiff*1</f>
        <v>28</v>
      </c>
      <c r="D12" s="4" t="s">
        <v>9</v>
      </c>
    </row>
    <row r="14" spans="1:9" x14ac:dyDescent="0.25">
      <c r="B14" s="18" t="s">
        <v>48</v>
      </c>
      <c r="C14" s="25" t="s">
        <v>4</v>
      </c>
      <c r="D14" s="25" t="s">
        <v>49</v>
      </c>
      <c r="E14" s="25" t="s">
        <v>73</v>
      </c>
      <c r="F14" s="1"/>
    </row>
    <row r="15" spans="1:9" x14ac:dyDescent="0.25">
      <c r="B15" s="6" t="s">
        <v>50</v>
      </c>
      <c r="C15" s="33">
        <v>14.6</v>
      </c>
      <c r="D15" s="32">
        <v>11.11</v>
      </c>
      <c r="E15" s="36">
        <v>1</v>
      </c>
      <c r="F15" s="3"/>
    </row>
    <row r="16" spans="1:9" x14ac:dyDescent="0.25">
      <c r="B16" s="6" t="s">
        <v>51</v>
      </c>
      <c r="C16" s="33">
        <v>9</v>
      </c>
      <c r="D16" s="32">
        <v>12.59</v>
      </c>
      <c r="E16" s="36">
        <v>1</v>
      </c>
      <c r="F16" s="3"/>
    </row>
    <row r="17" spans="1:6" x14ac:dyDescent="0.25">
      <c r="B17" s="6" t="s">
        <v>52</v>
      </c>
      <c r="C17" s="33">
        <v>14.2</v>
      </c>
      <c r="D17" s="32">
        <v>11.85</v>
      </c>
      <c r="E17" s="36">
        <v>1</v>
      </c>
      <c r="F17" s="3"/>
    </row>
    <row r="18" spans="1:6" x14ac:dyDescent="0.25">
      <c r="B18" s="6" t="s">
        <v>53</v>
      </c>
      <c r="C18" s="33">
        <v>12.25</v>
      </c>
      <c r="D18" s="32">
        <v>0.59</v>
      </c>
      <c r="E18" s="36">
        <v>1</v>
      </c>
      <c r="F18" s="3"/>
    </row>
    <row r="19" spans="1:6" x14ac:dyDescent="0.25">
      <c r="B19" s="6" t="s">
        <v>77</v>
      </c>
      <c r="C19" s="33">
        <v>164.16</v>
      </c>
      <c r="D19" s="32">
        <v>8.68</v>
      </c>
      <c r="E19" s="36">
        <v>4</v>
      </c>
      <c r="F19" s="3"/>
    </row>
    <row r="20" spans="1:6" x14ac:dyDescent="0.25">
      <c r="B20" s="26" t="s">
        <v>12</v>
      </c>
      <c r="C20" s="34">
        <v>0</v>
      </c>
      <c r="D20" s="35">
        <v>0</v>
      </c>
      <c r="E20" s="37">
        <v>1</v>
      </c>
      <c r="F20" s="3"/>
    </row>
    <row r="22" spans="1:6" s="13" customFormat="1" ht="18.75" x14ac:dyDescent="0.3">
      <c r="A22" s="63" t="s">
        <v>54</v>
      </c>
      <c r="B22" s="63"/>
      <c r="E22" s="14"/>
    </row>
    <row r="23" spans="1:6" s="13" customFormat="1" ht="15" customHeight="1" x14ac:dyDescent="0.3">
      <c r="A23" s="12"/>
      <c r="E23" s="14"/>
    </row>
    <row r="24" spans="1:6" x14ac:dyDescent="0.25">
      <c r="A24" s="64" t="s">
        <v>55</v>
      </c>
      <c r="B24" s="64"/>
      <c r="C24" s="5"/>
      <c r="D24" s="4"/>
    </row>
    <row r="25" spans="1:6" ht="5.25" customHeight="1" x14ac:dyDescent="0.25">
      <c r="B25" s="4"/>
      <c r="C25" s="5"/>
      <c r="D25" s="4"/>
    </row>
    <row r="26" spans="1:6" ht="15" customHeight="1" x14ac:dyDescent="0.25">
      <c r="B26" s="4" t="s">
        <v>56</v>
      </c>
      <c r="C26" s="5" t="str">
        <f>Kalkulator!D15</f>
        <v>prąd (pompa ciepła)</v>
      </c>
      <c r="D26" s="4"/>
    </row>
    <row r="27" spans="1:6" x14ac:dyDescent="0.25">
      <c r="B27" s="4" t="s">
        <v>57</v>
      </c>
      <c r="C27" s="5">
        <f>VLOOKUP(Kalkulator!$D$15,Konfiguracja!$B$15:$F$20,2,TRUE)</f>
        <v>164.16</v>
      </c>
      <c r="D27" s="4" t="s">
        <v>8</v>
      </c>
    </row>
    <row r="28" spans="1:6" ht="18" x14ac:dyDescent="0.35">
      <c r="B28" t="s">
        <v>7</v>
      </c>
      <c r="C28">
        <f>VLOOKUP(Kalkulator!D15,Konfiguracja!B15:F20,3,TRUE)</f>
        <v>8.68</v>
      </c>
      <c r="D28" t="s">
        <v>71</v>
      </c>
    </row>
    <row r="29" spans="1:6" x14ac:dyDescent="0.25">
      <c r="B29" t="s">
        <v>70</v>
      </c>
      <c r="C29">
        <f>VLOOKUP(Kalkulator!D15,Konfiguracja!B15:F20,4,TRUE)</f>
        <v>4</v>
      </c>
    </row>
    <row r="31" spans="1:6" ht="16.5" customHeight="1" x14ac:dyDescent="0.25">
      <c r="A31" s="64" t="s">
        <v>72</v>
      </c>
      <c r="B31" s="64"/>
    </row>
    <row r="32" spans="1:6" ht="16.5" customHeight="1" x14ac:dyDescent="0.25">
      <c r="C32" s="1" t="s">
        <v>68</v>
      </c>
      <c r="D32" s="1" t="s">
        <v>69</v>
      </c>
      <c r="E32" s="1" t="s">
        <v>67</v>
      </c>
    </row>
    <row r="33" spans="2:6" x14ac:dyDescent="0.25">
      <c r="B33" s="15" t="s">
        <v>58</v>
      </c>
      <c r="C33" s="16">
        <f>WaterflowInLiterPerMinutes*ShowDurationInMinutes*NrOfPersonsPerShower*NrOfShowers*UtilizationInPercent*365/1000</f>
        <v>3401.8091250000007</v>
      </c>
      <c r="D33" s="16">
        <f>C33*(1-GreenJetSavingInPercent)</f>
        <v>1894.6785000000002</v>
      </c>
      <c r="E33" s="17">
        <f>C33-D33</f>
        <v>1507.1306250000005</v>
      </c>
      <c r="F33" s="15" t="s">
        <v>63</v>
      </c>
    </row>
    <row r="34" spans="2:6" x14ac:dyDescent="0.25">
      <c r="B34" s="18" t="s">
        <v>59</v>
      </c>
      <c r="C34" s="19">
        <f>C33*EnergyInKwhPerLiter*(1/$C$29)</f>
        <v>23812.663875000006</v>
      </c>
      <c r="D34" s="19">
        <f>D33*EnergyInKwhPerLiter*(1/$C$29)</f>
        <v>13262.749500000002</v>
      </c>
      <c r="E34" s="20">
        <f>C34-D34</f>
        <v>10549.914375000004</v>
      </c>
      <c r="F34" s="18" t="s">
        <v>66</v>
      </c>
    </row>
    <row r="35" spans="2:6" x14ac:dyDescent="0.25">
      <c r="B35" t="s">
        <v>60</v>
      </c>
      <c r="C35" s="2">
        <f>C33*ColdWaterPerLiter*BruttoNettoFactor</f>
        <v>3912.0804937500006</v>
      </c>
      <c r="D35" s="2">
        <f>D33*ColdWaterPerLiter*BruttoNettoFactor</f>
        <v>2178.880275</v>
      </c>
      <c r="E35" s="10">
        <f>C35-D35</f>
        <v>1733.2002187500007</v>
      </c>
      <c r="F35" t="s">
        <v>5</v>
      </c>
    </row>
    <row r="36" spans="2:6" x14ac:dyDescent="0.25">
      <c r="B36" t="s">
        <v>61</v>
      </c>
      <c r="C36" s="2">
        <f>C33*WasteWaterPerLiter*BruttoNettoFactor</f>
        <v>7143.7991625000013</v>
      </c>
      <c r="D36" s="2">
        <f>D33*WasteWaterPerLiter*BruttoNettoFactor</f>
        <v>3978.8248500000004</v>
      </c>
      <c r="E36" s="10">
        <f t="shared" ref="E36:E38" si="0">C36-D36</f>
        <v>3164.9743125000009</v>
      </c>
      <c r="F36" t="s">
        <v>5</v>
      </c>
    </row>
    <row r="37" spans="2:6" x14ac:dyDescent="0.25">
      <c r="B37" s="18" t="s">
        <v>62</v>
      </c>
      <c r="C37" s="21">
        <f>C34*C27/100*BruttoNettoFactor</f>
        <v>39090.869017200006</v>
      </c>
      <c r="D37" s="21">
        <f>D34*C27/100*BruttoNettoFactor</f>
        <v>21772.129579200006</v>
      </c>
      <c r="E37" s="20">
        <f t="shared" si="0"/>
        <v>17318.739438000001</v>
      </c>
      <c r="F37" s="18" t="s">
        <v>5</v>
      </c>
    </row>
    <row r="38" spans="2:6" x14ac:dyDescent="0.25">
      <c r="B38" s="7" t="s">
        <v>57</v>
      </c>
      <c r="C38" s="11">
        <f>SUM(C35:C37)</f>
        <v>50146.748673450013</v>
      </c>
      <c r="D38" s="11">
        <f>SUM(D35:D37)</f>
        <v>27929.834704200006</v>
      </c>
      <c r="E38" s="9">
        <f t="shared" si="0"/>
        <v>22216.913969250007</v>
      </c>
      <c r="F38" s="7" t="s">
        <v>64</v>
      </c>
    </row>
    <row r="39" spans="2:6" ht="18" x14ac:dyDescent="0.35">
      <c r="B39" s="22" t="s">
        <v>10</v>
      </c>
      <c r="C39" s="23">
        <f>C33*CO2SavingPerLiter</f>
        <v>29527.703205000005</v>
      </c>
      <c r="D39" s="23">
        <f>D33*CO2SavingPerLiter</f>
        <v>16445.809380000002</v>
      </c>
      <c r="E39" s="24">
        <f>C39-D39</f>
        <v>13081.893825000003</v>
      </c>
      <c r="F39" s="22" t="s">
        <v>65</v>
      </c>
    </row>
  </sheetData>
  <sortState xmlns:xlrd2="http://schemas.microsoft.com/office/spreadsheetml/2017/richdata2" ref="B15:E20">
    <sortCondition ref="B15:B20"/>
  </sortState>
  <mergeCells count="4">
    <mergeCell ref="A1:B1"/>
    <mergeCell ref="A22:B22"/>
    <mergeCell ref="A24:B24"/>
    <mergeCell ref="A31:B31"/>
  </mergeCells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20</vt:i4>
      </vt:variant>
    </vt:vector>
  </HeadingPairs>
  <TitlesOfParts>
    <vt:vector size="22" baseType="lpstr">
      <vt:lpstr>Kalkulator</vt:lpstr>
      <vt:lpstr>Konfiguracja</vt:lpstr>
      <vt:lpstr>AcquisitionCosts</vt:lpstr>
      <vt:lpstr>Anschaffungskosten</vt:lpstr>
      <vt:lpstr>BruttoNettoFactor</vt:lpstr>
      <vt:lpstr>CO2SavingPerLiter</vt:lpstr>
      <vt:lpstr>ColdWaterPerLiter</vt:lpstr>
      <vt:lpstr>ConnectionsPerShower</vt:lpstr>
      <vt:lpstr>ConsumptionInM3</vt:lpstr>
      <vt:lpstr>EnergyInKwhPerLiter</vt:lpstr>
      <vt:lpstr>GreenJetSaving</vt:lpstr>
      <vt:lpstr>GreenJetSavingInPercent</vt:lpstr>
      <vt:lpstr>LiterPer30s</vt:lpstr>
      <vt:lpstr>LiterPer30secGreenJet</vt:lpstr>
      <vt:lpstr>LiterPerMinutes</vt:lpstr>
      <vt:lpstr>NrOfPersonsPerShower</vt:lpstr>
      <vt:lpstr>NrOfShowers</vt:lpstr>
      <vt:lpstr>ShowDurationInMinutes</vt:lpstr>
      <vt:lpstr>TemperaturDiff</vt:lpstr>
      <vt:lpstr>UtilizationInPercent</vt:lpstr>
      <vt:lpstr>WasteWaterPerLiter</vt:lpstr>
      <vt:lpstr>WaterflowInLiterPerMinutes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Jank</dc:creator>
  <cp:lastModifiedBy>Sławomir Skupień</cp:lastModifiedBy>
  <cp:lastPrinted>2025-01-20T09:34:34Z</cp:lastPrinted>
  <dcterms:created xsi:type="dcterms:W3CDTF">2015-06-05T18:19:34Z</dcterms:created>
  <dcterms:modified xsi:type="dcterms:W3CDTF">2025-07-11T11:53:02Z</dcterms:modified>
</cp:coreProperties>
</file>